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 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<sst xmlns="http://schemas.openxmlformats.org/spreadsheetml/2006/main" count="76" uniqueCount="50">
  <si>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</si>
  <si>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</si>
  <si>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</si>
  <si>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</si>
  <si>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</si>
  <si>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</si>
  <si>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</si>
  <si>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</si>
  <si>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</si>
  <si>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</si>
  <si>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</si>
  <si>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</si>
  <si>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</si>
  <si>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</si>
  <si>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</si>
  <si>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</si>
  <si>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</si>
  <si>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</si>
  <si>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</si>
  <si>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</si>
  <si>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</si>
  <si>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</si>
  <si>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</si>
  <si>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</si>
  <si>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</si>
  <si>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</si>
  <si>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</si>
  <si>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</si>
  <si>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</si>
  <si>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</si>
  <si>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</si>
  <si>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</si>
  <si>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</si>
  <si>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</si>
  <si>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</si>
  <si>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</si>
  <si>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</si>
  <si>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</si>
  <si>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</si>
  <si>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</si>
  <si>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</si>
  <si>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</si>
  <si>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</si>
  <si>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Mai</t>
  </si>
  <si>
    <t>Trim II</t>
  </si>
  <si>
    <t>Sem I</t>
  </si>
  <si>
    <t>Iunie</t>
  </si>
  <si>
    <t xml:space="preserve">     Anexa 3</t>
  </si>
  <si>
    <t xml:space="preserve">         Anexa 3</t>
  </si>
  <si>
    <t>Buget alocat luna iunie 2020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</si>
</sst>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Border="1" applyAlignment="1">
      <alignment/>
    </xf>
    <xf numFmtId="171" fontId="4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90" fontId="1" fillId="34" borderId="10" xfId="0" applyNumberFormat="1" applyFont="1" applyFill="1" applyBorder="1" applyAlignment="1">
      <alignment/>
    </xf>
    <xf numFmtId="190" fontId="1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L1">
      <selection activeCell="S26" sqref="S26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  <col min="22" max="22" width="13.140625" style="0" customWidth="1"/>
    <col min="23" max="23" width="13.28125" style="0" customWidth="1"/>
    <col min="25" max="25" width="11.710937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49</v>
      </c>
      <c r="B6" s="1"/>
      <c r="C6" s="1"/>
      <c r="D6" s="1"/>
      <c r="E6" s="3"/>
      <c r="F6" s="3"/>
      <c r="G6" s="3"/>
      <c r="H6" s="3"/>
      <c r="I6" s="3"/>
      <c r="J6" s="3"/>
      <c r="K6" s="5" t="s">
        <v>47</v>
      </c>
      <c r="L6" s="1" t="s">
        <v>49</v>
      </c>
      <c r="M6" s="1"/>
      <c r="N6" s="1"/>
      <c r="O6" s="1"/>
      <c r="P6" s="1"/>
      <c r="Q6" s="1"/>
      <c r="R6" s="5"/>
      <c r="S6" s="3"/>
      <c r="T6" s="5" t="s">
        <v>48</v>
      </c>
    </row>
    <row r="7" spans="1:20" ht="12.75">
      <c r="A7" s="2"/>
      <c r="B7" s="6" t="s">
        <v>35</v>
      </c>
      <c r="C7" s="6" t="s">
        <v>37</v>
      </c>
      <c r="D7" s="6" t="s">
        <v>38</v>
      </c>
      <c r="E7" s="6" t="s">
        <v>19</v>
      </c>
      <c r="F7" s="6" t="s">
        <v>5</v>
      </c>
      <c r="G7" s="6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24</v>
      </c>
      <c r="P7" s="6" t="s">
        <v>26</v>
      </c>
      <c r="Q7" s="6" t="s">
        <v>29</v>
      </c>
      <c r="R7" s="6" t="s">
        <v>16</v>
      </c>
      <c r="S7" s="4" t="s">
        <v>10</v>
      </c>
      <c r="T7" s="6" t="s">
        <v>39</v>
      </c>
    </row>
    <row r="8" spans="1:20" ht="12.75">
      <c r="A8" s="2"/>
      <c r="B8" s="6" t="s">
        <v>34</v>
      </c>
      <c r="C8" s="6" t="s">
        <v>36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25</v>
      </c>
      <c r="P8" s="6" t="s">
        <v>27</v>
      </c>
      <c r="Q8" s="6" t="s">
        <v>31</v>
      </c>
      <c r="R8" s="6" t="s">
        <v>17</v>
      </c>
      <c r="S8" s="4"/>
      <c r="T8" s="6">
        <v>2020</v>
      </c>
    </row>
    <row r="9" spans="1:20" ht="12.75">
      <c r="A9" s="4">
        <v>2020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2020</v>
      </c>
      <c r="M9" s="7"/>
      <c r="N9" s="2"/>
      <c r="O9" s="7"/>
      <c r="P9" s="6" t="s">
        <v>28</v>
      </c>
      <c r="Q9" s="6" t="s">
        <v>30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20" t="s">
        <v>1</v>
      </c>
      <c r="N11" s="20" t="s">
        <v>1</v>
      </c>
      <c r="O11" s="20" t="s">
        <v>1</v>
      </c>
      <c r="P11" s="20" t="s">
        <v>1</v>
      </c>
      <c r="Q11" s="20" t="s">
        <v>1</v>
      </c>
      <c r="R11" s="20" t="s">
        <v>14</v>
      </c>
      <c r="S11" s="20" t="s">
        <v>15</v>
      </c>
      <c r="T11" s="6" t="s">
        <v>15</v>
      </c>
    </row>
    <row r="12" spans="1:21" ht="12.75">
      <c r="A12" s="9" t="s">
        <v>3</v>
      </c>
      <c r="B12" s="8">
        <f>45298.36-14.86</f>
        <v>45283.5</v>
      </c>
      <c r="C12" s="8">
        <f>10004.44-29.44</f>
        <v>9975</v>
      </c>
      <c r="D12" s="8">
        <f>14560.7-27.2</f>
        <v>14533.5</v>
      </c>
      <c r="E12" s="8">
        <f>9291.64-261.64</f>
        <v>9030</v>
      </c>
      <c r="F12" s="8">
        <f>11494.62-22.62</f>
        <v>11472</v>
      </c>
      <c r="G12" s="8">
        <f>22243.18-10.18</f>
        <v>22233</v>
      </c>
      <c r="H12" s="8">
        <f>9436.28-33.28</f>
        <v>9403</v>
      </c>
      <c r="I12" s="8">
        <f>61721.52-7395.52</f>
        <v>54326</v>
      </c>
      <c r="J12" s="8">
        <f>20825.02-27.02</f>
        <v>20798</v>
      </c>
      <c r="K12" s="8">
        <f>32743.44-4.44</f>
        <v>32739</v>
      </c>
      <c r="L12" s="9" t="s">
        <v>3</v>
      </c>
      <c r="M12" s="21">
        <f>58042.56-4929.56</f>
        <v>53113</v>
      </c>
      <c r="N12" s="21">
        <f>10355.5-10.5</f>
        <v>10345</v>
      </c>
      <c r="O12" s="21">
        <f>12219.74-1015.24</f>
        <v>11204.5</v>
      </c>
      <c r="P12" s="21">
        <f>13370-20</f>
        <v>13350</v>
      </c>
      <c r="Q12" s="21">
        <f>60721-7225</f>
        <v>53496</v>
      </c>
      <c r="R12" s="21">
        <f>P30+N12+M12+K12+J12+I12+H12+G12+F12+E12+D12+C12+B12+O12+P12+Q12</f>
        <v>371301.5</v>
      </c>
      <c r="S12" s="21">
        <f>3672-1074</f>
        <v>2598</v>
      </c>
      <c r="T12" s="21">
        <f>R12+S12</f>
        <v>373899.5</v>
      </c>
      <c r="U12" s="11"/>
    </row>
    <row r="13" spans="1:21" ht="12.75">
      <c r="A13" s="9" t="s">
        <v>40</v>
      </c>
      <c r="B13" s="8">
        <f>46082.7+14.86-27.56</f>
        <v>46070</v>
      </c>
      <c r="C13" s="8">
        <f>12390.76+29.44-20.2</f>
        <v>12400</v>
      </c>
      <c r="D13" s="8">
        <f>14365.3+27.2-2</f>
        <v>14390.5</v>
      </c>
      <c r="E13" s="8">
        <f>9165.46+261.64-20.6</f>
        <v>9406.499999999998</v>
      </c>
      <c r="F13" s="8">
        <f>12681.04+22.62-85.66</f>
        <v>12618.000000000002</v>
      </c>
      <c r="G13" s="8">
        <f>21944.2+10.18-18.38</f>
        <v>21936</v>
      </c>
      <c r="H13" s="8">
        <f>9307.34+33.28-10.62</f>
        <v>9330</v>
      </c>
      <c r="I13" s="8">
        <f>60901.26+7395.52-22.78</f>
        <v>68274</v>
      </c>
      <c r="J13" s="8">
        <f>20545.76+27.02-16.78</f>
        <v>20556</v>
      </c>
      <c r="K13" s="8">
        <f>32298.48+4.44-16.92</f>
        <v>32286</v>
      </c>
      <c r="L13" s="9" t="s">
        <v>40</v>
      </c>
      <c r="M13" s="21">
        <f>57271.4+4929.56-9.46</f>
        <v>62191.5</v>
      </c>
      <c r="N13" s="21">
        <f>10215.92+10.5-6.42</f>
        <v>10220</v>
      </c>
      <c r="O13" s="21">
        <f>12054.86+1015.24-1846.1</f>
        <v>11224</v>
      </c>
      <c r="P13" s="21">
        <f>13189.84+20-5.84</f>
        <v>13204</v>
      </c>
      <c r="Q13" s="21">
        <f>59913.68+7225-13.68</f>
        <v>67125</v>
      </c>
      <c r="R13" s="21">
        <f>B13+C13+D13+E13+F13+G13+H13+I13+J13+K13+M13+N13+O13+P13+Q13</f>
        <v>411231.5</v>
      </c>
      <c r="S13" s="21">
        <f>3672+1074-1536</f>
        <v>3210</v>
      </c>
      <c r="T13" s="21">
        <f>R13+S13</f>
        <v>414441.5</v>
      </c>
      <c r="U13" s="11"/>
    </row>
    <row r="14" spans="1:21" ht="12.75">
      <c r="A14" s="9" t="s">
        <v>41</v>
      </c>
      <c r="B14" s="8">
        <f>44910.18+27.56-13313.74</f>
        <v>31624</v>
      </c>
      <c r="C14" s="8">
        <f>12335.2+20.2-25.4</f>
        <v>12330.000000000002</v>
      </c>
      <c r="D14" s="8">
        <f>14293.68+2-387.18</f>
        <v>13908.5</v>
      </c>
      <c r="E14" s="8">
        <f>9106.34+20.6-354.94</f>
        <v>8772</v>
      </c>
      <c r="F14" s="8">
        <f>13919.6+85.66-1183.26</f>
        <v>12822</v>
      </c>
      <c r="G14" s="8">
        <f>21825.68+18.38-334.06</f>
        <v>21510</v>
      </c>
      <c r="H14" s="8">
        <f>9239.68+10.62-25.3</f>
        <v>9225.000000000002</v>
      </c>
      <c r="I14" s="8">
        <f>60661.12+22.78-31533.9</f>
        <v>29150</v>
      </c>
      <c r="J14" s="8">
        <f>20444.32+16.78-1507.1</f>
        <v>18954</v>
      </c>
      <c r="K14" s="8">
        <f>32638.14+16.92-3.06</f>
        <v>32651.999999999996</v>
      </c>
      <c r="L14" s="9" t="s">
        <v>41</v>
      </c>
      <c r="M14" s="21">
        <f>57243.96+9.46-317.92</f>
        <v>56935.5</v>
      </c>
      <c r="N14" s="21">
        <f>10156.48+6.42-12.9</f>
        <v>10150</v>
      </c>
      <c r="O14" s="21">
        <f>12757.62+1846.1-3443.22</f>
        <v>11160.500000000002</v>
      </c>
      <c r="P14" s="21">
        <f>13118.32+5.84-26.16</f>
        <v>13098</v>
      </c>
      <c r="Q14" s="21">
        <f>59677.68+13.68-1360.86</f>
        <v>58330.5</v>
      </c>
      <c r="R14" s="21">
        <f>Q14+P14+O14+N14+M14+K14+J14+I14+H14+G14+F14+E14+D14+C14+B14</f>
        <v>340622</v>
      </c>
      <c r="S14" s="21">
        <f>3672+1536-4150</f>
        <v>1058</v>
      </c>
      <c r="T14" s="21">
        <f>R14+S14</f>
        <v>341680</v>
      </c>
      <c r="U14" s="11"/>
    </row>
    <row r="15" spans="1:21" ht="12.75">
      <c r="A15" s="29" t="s">
        <v>2</v>
      </c>
      <c r="B15" s="30">
        <f aca="true" t="shared" si="0" ref="B15:K15">B12+B13+B14</f>
        <v>122977.5</v>
      </c>
      <c r="C15" s="30">
        <f t="shared" si="0"/>
        <v>34705</v>
      </c>
      <c r="D15" s="30">
        <f t="shared" si="0"/>
        <v>42832.5</v>
      </c>
      <c r="E15" s="30">
        <f t="shared" si="0"/>
        <v>27208.5</v>
      </c>
      <c r="F15" s="30">
        <f t="shared" si="0"/>
        <v>36912</v>
      </c>
      <c r="G15" s="30">
        <f t="shared" si="0"/>
        <v>65679</v>
      </c>
      <c r="H15" s="30">
        <f t="shared" si="0"/>
        <v>27958</v>
      </c>
      <c r="I15" s="30">
        <f t="shared" si="0"/>
        <v>151750</v>
      </c>
      <c r="J15" s="30">
        <f t="shared" si="0"/>
        <v>60308</v>
      </c>
      <c r="K15" s="30">
        <f t="shared" si="0"/>
        <v>97677</v>
      </c>
      <c r="L15" s="30" t="s">
        <v>2</v>
      </c>
      <c r="M15" s="31">
        <f aca="true" t="shared" si="1" ref="M15:T15">M12+M13+M14</f>
        <v>172240</v>
      </c>
      <c r="N15" s="31">
        <f t="shared" si="1"/>
        <v>30715</v>
      </c>
      <c r="O15" s="31">
        <f t="shared" si="1"/>
        <v>33589</v>
      </c>
      <c r="P15" s="31">
        <f t="shared" si="1"/>
        <v>39652</v>
      </c>
      <c r="Q15" s="31">
        <f t="shared" si="1"/>
        <v>178951.5</v>
      </c>
      <c r="R15" s="31">
        <f t="shared" si="1"/>
        <v>1123155</v>
      </c>
      <c r="S15" s="31">
        <f t="shared" si="1"/>
        <v>6866</v>
      </c>
      <c r="T15" s="31">
        <f t="shared" si="1"/>
        <v>1130021</v>
      </c>
      <c r="U15" s="11"/>
    </row>
    <row r="16" spans="1:21" s="25" customFormat="1" ht="12.75">
      <c r="A16" s="9" t="s">
        <v>42</v>
      </c>
      <c r="B16" s="28">
        <f>46592.56+13313.74-59906.3</f>
        <v>0</v>
      </c>
      <c r="C16" s="28">
        <f>12738.36+25.4-12763.76</f>
        <v>0</v>
      </c>
      <c r="D16" s="28"/>
      <c r="E16" s="28">
        <f>4889.77-4889.77</f>
        <v>0</v>
      </c>
      <c r="F16" s="28">
        <f>14421.86+1183.26-1175.12</f>
        <v>14430</v>
      </c>
      <c r="G16" s="28">
        <f>22562.02+334.06-22116.08</f>
        <v>780</v>
      </c>
      <c r="H16" s="28">
        <f>9571.6+25.3-8732.9</f>
        <v>864</v>
      </c>
      <c r="I16" s="28">
        <f>62605.56+31533.9-85371.46</f>
        <v>8767.999999999985</v>
      </c>
      <c r="J16" s="28">
        <f>21123.3+1507.1-5164.4</f>
        <v>17466</v>
      </c>
      <c r="K16" s="28">
        <f>33787.98+3.06-23.04</f>
        <v>33768</v>
      </c>
      <c r="L16" s="9" t="s">
        <v>42</v>
      </c>
      <c r="M16" s="26">
        <f>59075.28+317.92-29.2</f>
        <v>59364</v>
      </c>
      <c r="N16" s="26">
        <f>10503.7+12.9-9526.6</f>
        <v>990</v>
      </c>
      <c r="O16" s="26">
        <v>0</v>
      </c>
      <c r="P16" s="26">
        <f>13561.46+26.16-0.62</f>
        <v>13586.999999999998</v>
      </c>
      <c r="Q16" s="26">
        <f>61590.42+1360.86-69.78</f>
        <v>62881.5</v>
      </c>
      <c r="R16" s="27">
        <f>Q16+P16+N16+M16+K16+J16+I16+H16+G16+F16+E16+D16+C16+B16</f>
        <v>212898.5</v>
      </c>
      <c r="S16" s="26">
        <f>3672+4150-3672-4150</f>
        <v>0</v>
      </c>
      <c r="T16" s="27">
        <f>R16+S16</f>
        <v>212898.5</v>
      </c>
      <c r="U16" s="24"/>
    </row>
    <row r="17" spans="1:25" s="25" customFormat="1" ht="12.75">
      <c r="A17" s="9" t="s">
        <v>43</v>
      </c>
      <c r="B17" s="28">
        <f>48391.91+1297.35+59906.3</f>
        <v>109595.56</v>
      </c>
      <c r="C17" s="28">
        <f>13011.53+347.1+0.06+12763.76</f>
        <v>26122.45</v>
      </c>
      <c r="D17" s="28">
        <f>15085.38+402.74+387.18</f>
        <v>15875.3</v>
      </c>
      <c r="E17" s="28">
        <f>4967.72-1353.54+4889.77</f>
        <v>8503.95</v>
      </c>
      <c r="F17" s="28">
        <f>13316.47+356.33+1175.12</f>
        <v>14847.919999999998</v>
      </c>
      <c r="G17" s="28">
        <f>23043.8+615.2+22116.08</f>
        <v>45775.08</v>
      </c>
      <c r="H17" s="28">
        <f>9773.73+261.49+8732.9</f>
        <v>18768.12</v>
      </c>
      <c r="I17" s="28">
        <f>63952.94+1704.92+85371.46</f>
        <v>151029.32</v>
      </c>
      <c r="J17" s="28">
        <f>22151.58+5164.4</f>
        <v>27315.980000000003</v>
      </c>
      <c r="K17" s="28">
        <f>33916.52+907+23.04</f>
        <v>34846.56</v>
      </c>
      <c r="L17" s="9" t="s">
        <v>43</v>
      </c>
      <c r="M17" s="26">
        <f>60141.43+1603.41+29.2</f>
        <v>61774.04</v>
      </c>
      <c r="N17" s="26">
        <f>10727.69+286.43+9526.6</f>
        <v>20540.72</v>
      </c>
      <c r="O17" s="26">
        <f>6942.1-2294.98+3443.22</f>
        <v>8090.34</v>
      </c>
      <c r="P17" s="26">
        <f>13850.77+338.23+0.62</f>
        <v>14189.62</v>
      </c>
      <c r="Q17" s="26">
        <f>62915.98+1677.26+69.78</f>
        <v>64663.020000000004</v>
      </c>
      <c r="R17" s="27">
        <f>B17+C17+D17+E17+F17+G17+H17+I17+J17+K17+M17+N17+O17+P17+Q17</f>
        <v>621937.98</v>
      </c>
      <c r="S17" s="26">
        <f>3672+7822</f>
        <v>11494</v>
      </c>
      <c r="T17" s="27">
        <f>R17+S17</f>
        <v>633431.98</v>
      </c>
      <c r="U17" s="24"/>
      <c r="Y17" s="24"/>
    </row>
    <row r="18" spans="1:21" s="25" customFormat="1" ht="12.75">
      <c r="A18" s="9" t="s">
        <v>46</v>
      </c>
      <c r="B18" s="28">
        <v>34565.88</v>
      </c>
      <c r="C18" s="28">
        <v>9489.2</v>
      </c>
      <c r="D18" s="28">
        <v>10996.42</v>
      </c>
      <c r="E18" s="28">
        <v>5208.92</v>
      </c>
      <c r="F18" s="28">
        <v>10711.96</v>
      </c>
      <c r="G18" s="28">
        <v>16792.08</v>
      </c>
      <c r="H18" s="28">
        <v>7110.48</v>
      </c>
      <c r="I18" s="28">
        <v>46662.24</v>
      </c>
      <c r="J18" s="28">
        <v>15728.08</v>
      </c>
      <c r="K18" s="28">
        <v>25114.62</v>
      </c>
      <c r="L18" s="9" t="s">
        <v>46</v>
      </c>
      <c r="M18" s="26">
        <v>44033.5</v>
      </c>
      <c r="N18" s="26">
        <v>7814.62</v>
      </c>
      <c r="O18" s="26">
        <v>9969.72</v>
      </c>
      <c r="P18" s="26">
        <v>10092.9</v>
      </c>
      <c r="Q18" s="26">
        <v>46756.9</v>
      </c>
      <c r="R18" s="27">
        <f>B18+C18+D18+E18+F18+G18+H18+I18+J18+K18+M18+N18+O18+P18+Q18</f>
        <v>301047.51999999996</v>
      </c>
      <c r="S18" s="26">
        <v>2601</v>
      </c>
      <c r="T18" s="27">
        <f>R18+S18</f>
        <v>303648.51999999996</v>
      </c>
      <c r="U18" s="24"/>
    </row>
    <row r="19" spans="1:21" s="25" customFormat="1" ht="12.75">
      <c r="A19" s="29" t="s">
        <v>44</v>
      </c>
      <c r="B19" s="39">
        <f>SUM(B17:B18)</f>
        <v>144161.44</v>
      </c>
      <c r="C19" s="39">
        <f>SUM(C17:C18)</f>
        <v>35611.65</v>
      </c>
      <c r="D19" s="39">
        <f>SUM(D17:D18)</f>
        <v>26871.72</v>
      </c>
      <c r="E19" s="39">
        <f>SUM(E17:E18)</f>
        <v>13712.87</v>
      </c>
      <c r="F19" s="39">
        <f aca="true" t="shared" si="2" ref="F19:K19">SUM(F16:F18)</f>
        <v>39989.88</v>
      </c>
      <c r="G19" s="39">
        <f t="shared" si="2"/>
        <v>63347.16</v>
      </c>
      <c r="H19" s="39">
        <f t="shared" si="2"/>
        <v>26742.6</v>
      </c>
      <c r="I19" s="39">
        <f t="shared" si="2"/>
        <v>206459.56</v>
      </c>
      <c r="J19" s="39">
        <f t="shared" si="2"/>
        <v>60510.060000000005</v>
      </c>
      <c r="K19" s="39">
        <f t="shared" si="2"/>
        <v>93729.18</v>
      </c>
      <c r="L19" s="29" t="s">
        <v>44</v>
      </c>
      <c r="M19" s="40">
        <f>SUM(M16:M18)</f>
        <v>165171.54</v>
      </c>
      <c r="N19" s="40">
        <f>SUM(N16:N18)</f>
        <v>29345.34</v>
      </c>
      <c r="O19" s="40">
        <f>SUM(O17:O18)</f>
        <v>18060.059999999998</v>
      </c>
      <c r="P19" s="40">
        <f>SUM(P16:P18)</f>
        <v>37869.52</v>
      </c>
      <c r="Q19" s="40">
        <f>SUM(Q16:Q18)</f>
        <v>174301.42</v>
      </c>
      <c r="R19" s="40">
        <f>SUM(R16:R18)</f>
        <v>1135884</v>
      </c>
      <c r="S19" s="40">
        <f>SUM(S17:S18)</f>
        <v>14095</v>
      </c>
      <c r="T19" s="31">
        <f>T16+T17+T18</f>
        <v>1149979</v>
      </c>
      <c r="U19" s="24"/>
    </row>
    <row r="20" spans="1:21" s="25" customFormat="1" ht="12.75">
      <c r="A20" s="29" t="s">
        <v>45</v>
      </c>
      <c r="B20" s="39">
        <f aca="true" t="shared" si="3" ref="B20:K20">B15+B19</f>
        <v>267138.94</v>
      </c>
      <c r="C20" s="39">
        <f t="shared" si="3"/>
        <v>70316.65</v>
      </c>
      <c r="D20" s="39">
        <f t="shared" si="3"/>
        <v>69704.22</v>
      </c>
      <c r="E20" s="39">
        <f t="shared" si="3"/>
        <v>40921.37</v>
      </c>
      <c r="F20" s="39">
        <f t="shared" si="3"/>
        <v>76901.88</v>
      </c>
      <c r="G20" s="39">
        <f t="shared" si="3"/>
        <v>129026.16</v>
      </c>
      <c r="H20" s="39">
        <f t="shared" si="3"/>
        <v>54700.6</v>
      </c>
      <c r="I20" s="39">
        <f t="shared" si="3"/>
        <v>358209.56</v>
      </c>
      <c r="J20" s="39">
        <f t="shared" si="3"/>
        <v>120818.06</v>
      </c>
      <c r="K20" s="39">
        <f t="shared" si="3"/>
        <v>191406.18</v>
      </c>
      <c r="L20" s="29" t="s">
        <v>45</v>
      </c>
      <c r="M20" s="40">
        <f aca="true" t="shared" si="4" ref="M20:T20">M15+M19</f>
        <v>337411.54000000004</v>
      </c>
      <c r="N20" s="40">
        <f t="shared" si="4"/>
        <v>60060.34</v>
      </c>
      <c r="O20" s="40">
        <f t="shared" si="4"/>
        <v>51649.06</v>
      </c>
      <c r="P20" s="40">
        <f t="shared" si="4"/>
        <v>77521.51999999999</v>
      </c>
      <c r="Q20" s="40">
        <f t="shared" si="4"/>
        <v>353252.92000000004</v>
      </c>
      <c r="R20" s="40">
        <f t="shared" si="4"/>
        <v>2259039</v>
      </c>
      <c r="S20" s="40">
        <f t="shared" si="4"/>
        <v>20961</v>
      </c>
      <c r="T20" s="31">
        <f t="shared" si="4"/>
        <v>2280000</v>
      </c>
      <c r="U20" s="24"/>
    </row>
    <row r="21" spans="1:21" ht="12.75">
      <c r="A21" s="5"/>
      <c r="B21" s="32"/>
      <c r="C21" s="5"/>
      <c r="D21" s="32"/>
      <c r="E21" s="22"/>
      <c r="F21" s="22"/>
      <c r="G21" s="22"/>
      <c r="H21" s="22"/>
      <c r="I21" s="22"/>
      <c r="J21" s="22"/>
      <c r="K21" s="22"/>
      <c r="L21" s="5"/>
      <c r="M21" s="32"/>
      <c r="N21" s="5"/>
      <c r="O21" s="23"/>
      <c r="P21" s="23"/>
      <c r="Q21" s="23"/>
      <c r="R21" s="23"/>
      <c r="S21" s="23"/>
      <c r="T21" s="23"/>
      <c r="U21" s="11"/>
    </row>
    <row r="22" spans="1:23" ht="12.75">
      <c r="A22" s="33"/>
      <c r="B22" s="33"/>
      <c r="C22" s="33"/>
      <c r="D22" s="33"/>
      <c r="G22" s="35"/>
      <c r="H22" s="35"/>
      <c r="I22" s="36"/>
      <c r="L22" s="33"/>
      <c r="M22" s="33"/>
      <c r="N22" s="33"/>
      <c r="Q22" s="35"/>
      <c r="R22" s="35"/>
      <c r="S22" s="36"/>
      <c r="T22" s="1"/>
      <c r="U22" s="1"/>
      <c r="W22" s="16"/>
    </row>
    <row r="23" spans="1:25" ht="12.75">
      <c r="A23" s="34"/>
      <c r="B23" s="34"/>
      <c r="C23" s="34"/>
      <c r="D23" s="34"/>
      <c r="G23" s="35"/>
      <c r="H23" s="37"/>
      <c r="I23" s="35"/>
      <c r="L23" s="34"/>
      <c r="M23" s="34"/>
      <c r="N23" s="34"/>
      <c r="Q23" s="35"/>
      <c r="R23" s="37"/>
      <c r="S23" s="35"/>
      <c r="T23" s="19"/>
      <c r="U23" s="1"/>
      <c r="V23" s="17"/>
      <c r="W23" s="16"/>
      <c r="Y23" s="5"/>
    </row>
    <row r="24" spans="1:25" ht="12.75">
      <c r="A24" s="34"/>
      <c r="B24" s="34"/>
      <c r="C24" s="34"/>
      <c r="D24" s="34"/>
      <c r="G24" s="35"/>
      <c r="H24" s="37"/>
      <c r="I24" s="35"/>
      <c r="L24" s="34"/>
      <c r="M24" s="34"/>
      <c r="N24" s="34"/>
      <c r="Q24" s="35"/>
      <c r="R24" s="37"/>
      <c r="S24" s="35"/>
      <c r="T24" s="19"/>
      <c r="U24" s="1"/>
      <c r="V24" s="17"/>
      <c r="W24" s="16"/>
      <c r="Y24" s="5"/>
    </row>
    <row r="25" spans="1:25" ht="12.75">
      <c r="A25" s="34"/>
      <c r="B25" s="34"/>
      <c r="C25" s="34"/>
      <c r="D25" s="34"/>
      <c r="G25" s="35"/>
      <c r="H25" s="37"/>
      <c r="I25" s="35"/>
      <c r="L25" s="34"/>
      <c r="M25" s="34"/>
      <c r="N25" s="34"/>
      <c r="Q25" s="35"/>
      <c r="R25" s="37"/>
      <c r="S25" s="35"/>
      <c r="T25" s="19"/>
      <c r="U25" s="1"/>
      <c r="V25" s="17"/>
      <c r="W25" s="16"/>
      <c r="Y25" s="5"/>
    </row>
    <row r="26" spans="2:23" ht="12.75">
      <c r="B26" s="12"/>
      <c r="C26" s="12"/>
      <c r="D26" s="12"/>
      <c r="E26" s="11"/>
      <c r="G26" s="37"/>
      <c r="H26" s="35"/>
      <c r="I26" s="37"/>
      <c r="J26" s="11"/>
      <c r="K26" s="11"/>
      <c r="L26" s="1"/>
      <c r="M26" s="12"/>
      <c r="N26" s="12"/>
      <c r="O26" s="12"/>
      <c r="P26" s="11"/>
      <c r="Q26" s="37"/>
      <c r="R26" s="35"/>
      <c r="S26" s="37"/>
      <c r="T26" s="13"/>
      <c r="V26" s="5"/>
      <c r="W26" s="5"/>
    </row>
    <row r="27" spans="1:16" ht="12.75">
      <c r="A27" s="15"/>
      <c r="C27" s="17"/>
      <c r="D27" s="1"/>
      <c r="E27" s="1"/>
      <c r="F27" s="1"/>
      <c r="G27" s="15"/>
      <c r="N27" s="1"/>
      <c r="O27" s="1"/>
      <c r="P27" s="5"/>
    </row>
    <row r="28" spans="4:20" ht="12.75">
      <c r="D28" s="11"/>
      <c r="H28" s="1"/>
      <c r="I28" s="1"/>
      <c r="J28" s="1"/>
      <c r="R28" s="5"/>
      <c r="S28" s="5"/>
      <c r="T28" s="5"/>
    </row>
    <row r="29" spans="10:20" ht="12.75">
      <c r="J29" s="10"/>
      <c r="K29" s="10"/>
      <c r="T29" s="10"/>
    </row>
    <row r="30" spans="2:28" ht="12.75">
      <c r="B30" s="10"/>
      <c r="I30" s="18"/>
      <c r="J30" s="18"/>
      <c r="K30" s="18"/>
      <c r="P30" s="10"/>
      <c r="Q30" s="10"/>
      <c r="R30" s="18"/>
      <c r="AB30" s="10"/>
    </row>
    <row r="31" spans="1:20" ht="12.75">
      <c r="A31" s="10"/>
      <c r="B31" s="10"/>
      <c r="T31" s="38"/>
    </row>
    <row r="32" ht="12.75">
      <c r="A32" s="10"/>
    </row>
    <row r="36" spans="18:19" ht="12.75">
      <c r="R36" s="14"/>
      <c r="S36" s="14"/>
    </row>
  </sheetData>
  <sheetProtection/>
  <printOptions/>
  <pageMargins left="0.44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2020-06-17T12:16:49Z</cp:lastPrinted>
  <dcterms:created xsi:type="dcterms:W3CDTF">1996-10-14T23:33:28Z</dcterms:created>
  <dcterms:modified xsi:type="dcterms:W3CDTF">2020-07-21T07:06:29Z</dcterms:modified>
  <cp:category/>
  <cp:version/>
  <cp:contentType/>
  <cp:contentStatus/>
</cp:coreProperties>
</file>